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defaultThemeVersion="124226"/>
  <bookViews>
    <workbookView xWindow="240" yWindow="105" windowWidth="14805" windowHeight="8010"/>
  </bookViews>
  <sheets>
    <sheet name="Расчет" sheetId="1" r:id="rId1"/>
    <sheet name="штатное расписание" sheetId="2" r:id="rId2"/>
  </sheets>
  <calcPr calcId="144525"/>
</workbook>
</file>

<file path=xl/calcChain.xml><?xml version="1.0" encoding="utf-8"?>
<calcChain xmlns="http://schemas.openxmlformats.org/spreadsheetml/2006/main">
  <c r="G4" i="1" l="1"/>
  <c r="F20" i="2" l="1"/>
  <c r="F4" i="2" l="1"/>
  <c r="F5" i="2"/>
  <c r="F6" i="2"/>
  <c r="F7" i="2"/>
  <c r="F8" i="2"/>
  <c r="F3" i="2"/>
  <c r="F9" i="2" l="1"/>
  <c r="F10" i="2" s="1"/>
  <c r="F11" i="2" s="1"/>
  <c r="F12" i="2" s="1"/>
  <c r="H36" i="1"/>
  <c r="G36" i="1"/>
  <c r="F30" i="1" l="1"/>
  <c r="F20" i="1"/>
  <c r="F15" i="1"/>
  <c r="I38" i="1" l="1"/>
  <c r="H27" i="1"/>
  <c r="H38" i="1"/>
  <c r="I27" i="1"/>
  <c r="G38" i="1"/>
  <c r="G27" i="1"/>
  <c r="G28" i="1"/>
  <c r="I28" i="1"/>
  <c r="H28" i="1"/>
  <c r="I33" i="1"/>
  <c r="G32" i="1"/>
  <c r="G35" i="1"/>
  <c r="H32" i="1"/>
  <c r="H35" i="1"/>
  <c r="I32" i="1"/>
  <c r="I35" i="1"/>
  <c r="G33" i="1"/>
  <c r="H33" i="1"/>
  <c r="G17" i="1"/>
  <c r="H17" i="1"/>
  <c r="G21" i="1"/>
  <c r="I17" i="1"/>
  <c r="I21" i="1"/>
  <c r="H21" i="1"/>
  <c r="I40" i="1"/>
  <c r="H40" i="1"/>
  <c r="G40" i="1"/>
  <c r="I39" i="1"/>
  <c r="H39" i="1"/>
  <c r="G39" i="1"/>
  <c r="I37" i="1"/>
  <c r="H37" i="1"/>
  <c r="G37" i="1"/>
  <c r="I34" i="1"/>
  <c r="H34" i="1"/>
  <c r="G34" i="1"/>
  <c r="I31" i="1"/>
  <c r="I26" i="1"/>
  <c r="H26" i="1"/>
  <c r="G26" i="1"/>
  <c r="F25" i="1"/>
  <c r="I23" i="1"/>
  <c r="H23" i="1"/>
  <c r="G23" i="1"/>
  <c r="F22" i="1"/>
  <c r="F41" i="1" s="1"/>
  <c r="I20" i="1"/>
  <c r="I9" i="1" s="1"/>
  <c r="H20" i="1"/>
  <c r="H9" i="1" s="1"/>
  <c r="G20" i="1"/>
  <c r="G9" i="1" s="1"/>
  <c r="I19" i="1"/>
  <c r="H19" i="1"/>
  <c r="G19" i="1"/>
  <c r="I18" i="1"/>
  <c r="H18" i="1"/>
  <c r="G18" i="1"/>
  <c r="I16" i="1"/>
  <c r="H16" i="1"/>
  <c r="G16" i="1"/>
  <c r="H41" i="1" l="1"/>
  <c r="I41" i="1"/>
  <c r="I30" i="1"/>
  <c r="I12" i="1" s="1"/>
  <c r="G22" i="1"/>
  <c r="G10" i="1" s="1"/>
  <c r="I25" i="1"/>
  <c r="I11" i="1" s="1"/>
  <c r="I15" i="1"/>
  <c r="I8" i="1" s="1"/>
  <c r="H22" i="1"/>
  <c r="H10" i="1" s="1"/>
  <c r="I22" i="1"/>
  <c r="I10" i="1" s="1"/>
  <c r="H25" i="1"/>
  <c r="G15" i="1"/>
  <c r="G8" i="1" s="1"/>
  <c r="H15" i="1"/>
  <c r="H8" i="1" s="1"/>
  <c r="G25" i="1"/>
  <c r="H31" i="1"/>
  <c r="H30" i="1" s="1"/>
  <c r="G31" i="1"/>
  <c r="G41" i="1" l="1"/>
  <c r="F42" i="1"/>
  <c r="I42" i="1"/>
  <c r="H11" i="1"/>
  <c r="H42" i="1"/>
  <c r="G11" i="1"/>
  <c r="H12" i="1"/>
  <c r="F43" i="1" l="1"/>
  <c r="I43" i="1" s="1"/>
  <c r="G30" i="1"/>
  <c r="G42" i="1" s="1"/>
  <c r="G43" i="1" l="1"/>
  <c r="G13" i="1" s="1"/>
  <c r="F44" i="1"/>
  <c r="H43" i="1"/>
  <c r="H13" i="1" s="1"/>
  <c r="H7" i="1" s="1"/>
  <c r="I44" i="1"/>
  <c r="I13" i="1"/>
  <c r="I7" i="1" s="1"/>
  <c r="G12" i="1"/>
  <c r="H44" i="1" l="1"/>
  <c r="G44" i="1"/>
  <c r="G7" i="1"/>
</calcChain>
</file>

<file path=xl/sharedStrings.xml><?xml version="1.0" encoding="utf-8"?>
<sst xmlns="http://schemas.openxmlformats.org/spreadsheetml/2006/main" count="114" uniqueCount="75">
  <si>
    <t>Наименование</t>
  </si>
  <si>
    <t>Ед. изм</t>
  </si>
  <si>
    <t>Жилое</t>
  </si>
  <si>
    <t>Нежилое</t>
  </si>
  <si>
    <t>Паркинг</t>
  </si>
  <si>
    <t>м2</t>
  </si>
  <si>
    <t>1кв.м.</t>
  </si>
  <si>
    <t>1 кв.м.</t>
  </si>
  <si>
    <t>Обслуживание лифтов</t>
  </si>
  <si>
    <t>Вывоз мусора</t>
  </si>
  <si>
    <t xml:space="preserve">Уборка </t>
  </si>
  <si>
    <t>Техническое обслуживание</t>
  </si>
  <si>
    <t>Сумма расходов</t>
  </si>
  <si>
    <t>I</t>
  </si>
  <si>
    <t>руб/мес</t>
  </si>
  <si>
    <t>Обслуживание лифтов  по договору</t>
  </si>
  <si>
    <t>Ремонт лифтового оборудования</t>
  </si>
  <si>
    <t>Техническое освидетельствование лифтов</t>
  </si>
  <si>
    <t>II</t>
  </si>
  <si>
    <t>Расходы на вывоз мусора</t>
  </si>
  <si>
    <t>IV</t>
  </si>
  <si>
    <t>Обслуживание вьездных ворот паркинга</t>
  </si>
  <si>
    <t>V</t>
  </si>
  <si>
    <t>Расходы на уборку</t>
  </si>
  <si>
    <t xml:space="preserve">Расходы на уборку МОП и тер. </t>
  </si>
  <si>
    <t>Расходы на уборку паркинга</t>
  </si>
  <si>
    <t>VI</t>
  </si>
  <si>
    <t>Расходы на ТО</t>
  </si>
  <si>
    <t>Обслуживание пожарных систем</t>
  </si>
  <si>
    <t>Охрана труда</t>
  </si>
  <si>
    <t>Дератизация, дезинфекция</t>
  </si>
  <si>
    <t>Страхование лифтов</t>
  </si>
  <si>
    <t>Расходы на содержание МКД</t>
  </si>
  <si>
    <t xml:space="preserve">ФОТ + налоги линейного персонала </t>
  </si>
  <si>
    <t>VII</t>
  </si>
  <si>
    <t>ИТОГО расходов</t>
  </si>
  <si>
    <t>Поверка манометров, приборов учета тепла и воды</t>
  </si>
  <si>
    <t>Обслуживание аварийной бригады</t>
  </si>
  <si>
    <t>Содержание МКД</t>
  </si>
  <si>
    <t>Затраты УК ( накладные расходы, налоги, АУП)</t>
  </si>
  <si>
    <t>Вывоз ТБО, КГМ</t>
  </si>
  <si>
    <t>Очистка элементов фасада от наледи</t>
  </si>
  <si>
    <t>м/м с подъемником</t>
  </si>
  <si>
    <t>м/м без подъемника</t>
  </si>
  <si>
    <t>Рентабельность 5%</t>
  </si>
  <si>
    <t xml:space="preserve"> Расходные материалы на обслуживание инженерных систем и оборудования</t>
  </si>
  <si>
    <t>Расходы на мойку фасадов здания</t>
  </si>
  <si>
    <t>Обслуживание слоботочных систем ( модуля кнопка 01, видеонаблюдения, систем контроля доступа, домофон)</t>
  </si>
  <si>
    <t>Утилизация люминисцентных ламп</t>
  </si>
  <si>
    <t>Инженерное обслуживание систем и ИТП</t>
  </si>
  <si>
    <t>Очистка и дезинфекция стволов мусоропровода</t>
  </si>
  <si>
    <t>Управляющий</t>
  </si>
  <si>
    <t>Инженер</t>
  </si>
  <si>
    <t>Техник-сантехник</t>
  </si>
  <si>
    <t>Техник-электрик</t>
  </si>
  <si>
    <t>Диспетчер</t>
  </si>
  <si>
    <t>Плотник</t>
  </si>
  <si>
    <t>Итого</t>
  </si>
  <si>
    <t>Начисление (13%)</t>
  </si>
  <si>
    <t>Налог с ФОТ 20,2%</t>
  </si>
  <si>
    <t>Всего</t>
  </si>
  <si>
    <t>Штатная единица</t>
  </si>
  <si>
    <t>Оклад</t>
  </si>
  <si>
    <t>Сотрудники</t>
  </si>
  <si>
    <t>Штатное расписание</t>
  </si>
  <si>
    <t xml:space="preserve">Содержание общедомового имущества </t>
  </si>
  <si>
    <t>Клининг</t>
  </si>
  <si>
    <t>Уборщица</t>
  </si>
  <si>
    <t>Дворник</t>
  </si>
  <si>
    <t>Уборщик мусоропровода и паркинга</t>
  </si>
  <si>
    <t>Инвентарь, униформа, газонокосилка, поломоечная машина, реагенты, менеджер</t>
  </si>
  <si>
    <t xml:space="preserve">ИТОГО расходов </t>
  </si>
  <si>
    <t>Накладные расходы 13 %</t>
  </si>
  <si>
    <t>Площади</t>
  </si>
  <si>
    <t>Расчет тарифов на 2016-17 год по адресу: г. Москва, Рублевское шоссе, дом 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</si>
</sst>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0.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2"/>
      <charset val="204"/>
    </font>
    <font>
      <b/>
      <sz val="12"/>
      <color theme="1"/>
      <name val="Times New Roman"/>
      <family val="2"/>
      <charset val="204"/>
    </font>
    <font>
      <sz val="12"/>
      <color theme="1"/>
      <name val="Times New Roman"/>
      <family val="2"/>
      <charset val="204"/>
    </font>
    <font>
      <sz val="12"/>
      <color indexed="8"/>
      <name val="Times New Roman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indexed="8"/>
      <name val="Times New Roman"/>
      <family val="2"/>
      <charset val="204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1" fillId="0" borderId="0"/>
  </cellStyleXfs>
  <cellXfs count="95">
    <xf numFmtId="0" fontId="0" fillId="0" borderId="0" xfId="0"/>
    <xf numFmtId="164" fontId="5" fillId="0" borderId="0" xfId="0" applyNumberFormat="1" applyFont="1" applyAlignment="1">
      <alignment wrapText="1"/>
    </xf>
    <xf numFmtId="164" fontId="3" fillId="0" borderId="3" xfId="2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164" fontId="3" fillId="0" borderId="5" xfId="2" applyNumberFormat="1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 wrapText="1"/>
    </xf>
    <xf numFmtId="164" fontId="3" fillId="2" borderId="6" xfId="2" applyNumberFormat="1" applyFont="1" applyFill="1" applyBorder="1" applyAlignment="1">
      <alignment horizontal="center" wrapText="1"/>
    </xf>
    <xf numFmtId="164" fontId="3" fillId="2" borderId="6" xfId="2" applyNumberFormat="1" applyFont="1" applyFill="1" applyBorder="1" applyAlignment="1">
      <alignment horizontal="center" vertical="center" wrapText="1"/>
    </xf>
    <xf numFmtId="164" fontId="6" fillId="0" borderId="6" xfId="2" applyNumberFormat="1" applyFont="1" applyBorder="1" applyAlignment="1">
      <alignment horizontal="center" vertical="center" wrapText="1"/>
    </xf>
    <xf numFmtId="164" fontId="3" fillId="3" borderId="6" xfId="2" applyNumberFormat="1" applyFont="1" applyFill="1" applyBorder="1" applyAlignment="1">
      <alignment horizontal="center" vertical="center" wrapText="1"/>
    </xf>
    <xf numFmtId="164" fontId="4" fillId="0" borderId="6" xfId="0" applyNumberFormat="1" applyFont="1" applyBorder="1" applyAlignment="1">
      <alignment wrapText="1"/>
    </xf>
    <xf numFmtId="164" fontId="6" fillId="4" borderId="6" xfId="2" applyNumberFormat="1" applyFont="1" applyFill="1" applyBorder="1" applyAlignment="1">
      <alignment horizontal="center" wrapText="1"/>
    </xf>
    <xf numFmtId="164" fontId="6" fillId="4" borderId="8" xfId="2" applyNumberFormat="1" applyFont="1" applyFill="1" applyBorder="1" applyAlignment="1">
      <alignment horizontal="center" wrapText="1"/>
    </xf>
    <xf numFmtId="164" fontId="3" fillId="3" borderId="8" xfId="2" applyNumberFormat="1" applyFont="1" applyFill="1" applyBorder="1" applyAlignment="1">
      <alignment horizontal="center" vertical="center" wrapText="1"/>
    </xf>
    <xf numFmtId="164" fontId="4" fillId="0" borderId="8" xfId="0" applyNumberFormat="1" applyFont="1" applyBorder="1" applyAlignment="1">
      <alignment wrapText="1"/>
    </xf>
    <xf numFmtId="164" fontId="6" fillId="4" borderId="19" xfId="2" applyNumberFormat="1" applyFont="1" applyFill="1" applyBorder="1" applyAlignment="1">
      <alignment horizontal="center" wrapText="1"/>
    </xf>
    <xf numFmtId="164" fontId="3" fillId="3" borderId="19" xfId="2" applyNumberFormat="1" applyFont="1" applyFill="1" applyBorder="1" applyAlignment="1">
      <alignment horizontal="center" vertical="center" wrapText="1"/>
    </xf>
    <xf numFmtId="164" fontId="7" fillId="4" borderId="12" xfId="2" applyNumberFormat="1" applyFont="1" applyFill="1" applyBorder="1" applyAlignment="1">
      <alignment horizontal="center" wrapText="1"/>
    </xf>
    <xf numFmtId="164" fontId="3" fillId="3" borderId="12" xfId="2" applyNumberFormat="1" applyFont="1" applyFill="1" applyBorder="1" applyAlignment="1">
      <alignment horizontal="center" vertical="center" wrapText="1"/>
    </xf>
    <xf numFmtId="164" fontId="4" fillId="0" borderId="12" xfId="0" applyNumberFormat="1" applyFont="1" applyBorder="1" applyAlignment="1">
      <alignment wrapText="1"/>
    </xf>
    <xf numFmtId="164" fontId="4" fillId="0" borderId="9" xfId="0" applyNumberFormat="1" applyFont="1" applyBorder="1" applyAlignment="1">
      <alignment wrapText="1"/>
    </xf>
    <xf numFmtId="164" fontId="3" fillId="0" borderId="10" xfId="0" applyNumberFormat="1" applyFont="1" applyFill="1" applyBorder="1" applyAlignment="1">
      <alignment wrapText="1"/>
    </xf>
    <xf numFmtId="164" fontId="3" fillId="0" borderId="10" xfId="0" applyNumberFormat="1" applyFont="1" applyBorder="1" applyAlignment="1">
      <alignment horizontal="center" vertical="center" wrapText="1"/>
    </xf>
    <xf numFmtId="164" fontId="3" fillId="4" borderId="10" xfId="2" applyNumberFormat="1" applyFont="1" applyFill="1" applyBorder="1" applyAlignment="1">
      <alignment horizontal="center" wrapText="1"/>
    </xf>
    <xf numFmtId="164" fontId="5" fillId="0" borderId="10" xfId="0" applyNumberFormat="1" applyFont="1" applyBorder="1" applyAlignment="1">
      <alignment wrapText="1"/>
    </xf>
    <xf numFmtId="164" fontId="5" fillId="3" borderId="10" xfId="0" applyNumberFormat="1" applyFont="1" applyFill="1" applyBorder="1" applyAlignment="1">
      <alignment horizontal="center" wrapText="1"/>
    </xf>
    <xf numFmtId="164" fontId="6" fillId="0" borderId="9" xfId="0" applyNumberFormat="1" applyFont="1" applyBorder="1" applyAlignment="1">
      <alignment horizontal="center" vertical="center" wrapText="1"/>
    </xf>
    <xf numFmtId="164" fontId="5" fillId="3" borderId="10" xfId="0" applyNumberFormat="1" applyFont="1" applyFill="1" applyBorder="1" applyAlignment="1">
      <alignment wrapText="1"/>
    </xf>
    <xf numFmtId="164" fontId="4" fillId="0" borderId="10" xfId="0" applyNumberFormat="1" applyFont="1" applyBorder="1" applyAlignment="1">
      <alignment wrapText="1"/>
    </xf>
    <xf numFmtId="164" fontId="3" fillId="0" borderId="10" xfId="0" applyNumberFormat="1" applyFont="1" applyBorder="1" applyAlignment="1">
      <alignment horizontal="left" wrapText="1"/>
    </xf>
    <xf numFmtId="164" fontId="4" fillId="3" borderId="10" xfId="0" applyNumberFormat="1" applyFont="1" applyFill="1" applyBorder="1" applyAlignment="1">
      <alignment horizontal="center" vertical="center" wrapText="1"/>
    </xf>
    <xf numFmtId="164" fontId="8" fillId="0" borderId="10" xfId="0" applyNumberFormat="1" applyFont="1" applyBorder="1" applyAlignment="1">
      <alignment horizontal="left" wrapText="1"/>
    </xf>
    <xf numFmtId="164" fontId="8" fillId="0" borderId="9" xfId="0" applyNumberFormat="1" applyFont="1" applyBorder="1" applyAlignment="1">
      <alignment horizontal="center" vertical="center" wrapText="1"/>
    </xf>
    <xf numFmtId="164" fontId="10" fillId="3" borderId="10" xfId="0" applyNumberFormat="1" applyFont="1" applyFill="1" applyBorder="1" applyAlignment="1">
      <alignment horizontal="center" vertical="center" wrapText="1"/>
    </xf>
    <xf numFmtId="164" fontId="10" fillId="0" borderId="11" xfId="0" applyNumberFormat="1" applyFont="1" applyBorder="1" applyAlignment="1">
      <alignment wrapText="1"/>
    </xf>
    <xf numFmtId="164" fontId="10" fillId="0" borderId="10" xfId="0" applyNumberFormat="1" applyFont="1" applyBorder="1" applyAlignment="1">
      <alignment wrapText="1"/>
    </xf>
    <xf numFmtId="164" fontId="3" fillId="0" borderId="10" xfId="0" applyNumberFormat="1" applyFont="1" applyBorder="1" applyAlignment="1">
      <alignment horizontal="left" vertical="center" wrapText="1"/>
    </xf>
    <xf numFmtId="164" fontId="3" fillId="0" borderId="9" xfId="0" applyNumberFormat="1" applyFont="1" applyBorder="1" applyAlignment="1">
      <alignment horizontal="center" vertical="center" wrapText="1"/>
    </xf>
    <xf numFmtId="164" fontId="4" fillId="0" borderId="11" xfId="0" applyNumberFormat="1" applyFont="1" applyBorder="1" applyAlignment="1">
      <alignment wrapText="1"/>
    </xf>
    <xf numFmtId="164" fontId="6" fillId="0" borderId="10" xfId="0" applyNumberFormat="1" applyFont="1" applyBorder="1" applyAlignment="1">
      <alignment horizontal="left" vertical="center" wrapText="1"/>
    </xf>
    <xf numFmtId="164" fontId="6" fillId="3" borderId="10" xfId="0" applyNumberFormat="1" applyFont="1" applyFill="1" applyBorder="1" applyAlignment="1">
      <alignment horizontal="right" wrapText="1"/>
    </xf>
    <xf numFmtId="164" fontId="6" fillId="0" borderId="10" xfId="0" applyNumberFormat="1" applyFont="1" applyBorder="1" applyAlignment="1">
      <alignment wrapText="1"/>
    </xf>
    <xf numFmtId="164" fontId="6" fillId="3" borderId="10" xfId="1" applyNumberFormat="1" applyFont="1" applyFill="1" applyBorder="1" applyAlignment="1">
      <alignment horizontal="center" wrapText="1"/>
    </xf>
    <xf numFmtId="164" fontId="3" fillId="0" borderId="10" xfId="0" applyNumberFormat="1" applyFont="1" applyBorder="1" applyAlignment="1">
      <alignment wrapText="1"/>
    </xf>
    <xf numFmtId="164" fontId="6" fillId="0" borderId="10" xfId="0" applyNumberFormat="1" applyFont="1" applyBorder="1" applyAlignment="1">
      <alignment horizontal="left" wrapText="1"/>
    </xf>
    <xf numFmtId="164" fontId="6" fillId="0" borderId="10" xfId="0" applyNumberFormat="1" applyFont="1" applyBorder="1" applyAlignment="1">
      <alignment horizontal="center" vertical="center" wrapText="1"/>
    </xf>
    <xf numFmtId="164" fontId="6" fillId="3" borderId="11" xfId="1" applyNumberFormat="1" applyFont="1" applyFill="1" applyBorder="1" applyAlignment="1">
      <alignment wrapText="1"/>
    </xf>
    <xf numFmtId="164" fontId="6" fillId="3" borderId="10" xfId="1" applyNumberFormat="1" applyFont="1" applyFill="1" applyBorder="1" applyAlignment="1">
      <alignment wrapText="1"/>
    </xf>
    <xf numFmtId="164" fontId="9" fillId="0" borderId="10" xfId="0" applyNumberFormat="1" applyFont="1" applyBorder="1" applyAlignment="1">
      <alignment wrapText="1"/>
    </xf>
    <xf numFmtId="164" fontId="7" fillId="0" borderId="10" xfId="0" applyNumberFormat="1" applyFont="1" applyBorder="1" applyAlignment="1">
      <alignment wrapText="1"/>
    </xf>
    <xf numFmtId="164" fontId="7" fillId="0" borderId="9" xfId="0" applyNumberFormat="1" applyFont="1" applyBorder="1" applyAlignment="1">
      <alignment horizontal="center" vertical="center" wrapText="1"/>
    </xf>
    <xf numFmtId="164" fontId="7" fillId="3" borderId="10" xfId="1" applyNumberFormat="1" applyFont="1" applyFill="1" applyBorder="1" applyAlignment="1">
      <alignment wrapText="1"/>
    </xf>
    <xf numFmtId="164" fontId="4" fillId="0" borderId="17" xfId="0" applyNumberFormat="1" applyFont="1" applyBorder="1" applyAlignment="1">
      <alignment horizontal="center" vertical="center" wrapText="1"/>
    </xf>
    <xf numFmtId="164" fontId="4" fillId="0" borderId="11" xfId="0" applyNumberFormat="1" applyFont="1" applyBorder="1" applyAlignment="1">
      <alignment horizontal="center" vertical="center" wrapText="1"/>
    </xf>
    <xf numFmtId="164" fontId="3" fillId="2" borderId="4" xfId="2" applyNumberFormat="1" applyFont="1" applyFill="1" applyBorder="1" applyAlignment="1">
      <alignment horizontal="center" vertical="center" wrapText="1"/>
    </xf>
    <xf numFmtId="164" fontId="4" fillId="0" borderId="13" xfId="0" applyNumberFormat="1" applyFont="1" applyBorder="1" applyAlignment="1">
      <alignment wrapText="1"/>
    </xf>
    <xf numFmtId="164" fontId="3" fillId="3" borderId="16" xfId="2" applyNumberFormat="1" applyFont="1" applyFill="1" applyBorder="1" applyAlignment="1">
      <alignment horizontal="center" vertical="center" wrapText="1"/>
    </xf>
    <xf numFmtId="164" fontId="9" fillId="2" borderId="10" xfId="0" applyNumberFormat="1" applyFont="1" applyFill="1" applyBorder="1" applyAlignment="1">
      <alignment wrapText="1"/>
    </xf>
    <xf numFmtId="0" fontId="10" fillId="0" borderId="0" xfId="0" applyFont="1" applyAlignment="1">
      <alignment wrapText="1"/>
    </xf>
    <xf numFmtId="0" fontId="10" fillId="0" borderId="10" xfId="0" applyFont="1" applyBorder="1" applyAlignment="1">
      <alignment wrapText="1"/>
    </xf>
    <xf numFmtId="165" fontId="10" fillId="0" borderId="10" xfId="0" applyNumberFormat="1" applyFont="1" applyBorder="1" applyAlignment="1">
      <alignment wrapText="1"/>
    </xf>
    <xf numFmtId="0" fontId="10" fillId="0" borderId="23" xfId="0" applyFont="1" applyBorder="1" applyAlignment="1">
      <alignment wrapText="1"/>
    </xf>
    <xf numFmtId="0" fontId="10" fillId="0" borderId="24" xfId="0" applyFont="1" applyBorder="1" applyAlignment="1">
      <alignment wrapText="1"/>
    </xf>
    <xf numFmtId="2" fontId="10" fillId="0" borderId="24" xfId="0" applyNumberFormat="1" applyFont="1" applyBorder="1" applyAlignment="1">
      <alignment wrapText="1"/>
    </xf>
    <xf numFmtId="0" fontId="10" fillId="0" borderId="26" xfId="0" applyFont="1" applyBorder="1" applyAlignment="1">
      <alignment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2" fontId="9" fillId="0" borderId="27" xfId="0" applyNumberFormat="1" applyFont="1" applyBorder="1" applyAlignment="1">
      <alignment wrapText="1"/>
    </xf>
    <xf numFmtId="0" fontId="9" fillId="0" borderId="25" xfId="0" applyFont="1" applyBorder="1" applyAlignment="1">
      <alignment wrapText="1"/>
    </xf>
    <xf numFmtId="164" fontId="4" fillId="0" borderId="1" xfId="0" applyNumberFormat="1" applyFont="1" applyBorder="1" applyAlignment="1">
      <alignment horizontal="center" vertical="top" wrapText="1"/>
    </xf>
    <xf numFmtId="164" fontId="3" fillId="0" borderId="2" xfId="2" applyNumberFormat="1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164" fontId="6" fillId="4" borderId="7" xfId="2" applyNumberFormat="1" applyFont="1" applyFill="1" applyBorder="1" applyAlignment="1">
      <alignment wrapText="1"/>
    </xf>
    <xf numFmtId="0" fontId="0" fillId="0" borderId="13" xfId="0" applyBorder="1" applyAlignment="1">
      <alignment wrapText="1"/>
    </xf>
    <xf numFmtId="164" fontId="6" fillId="4" borderId="14" xfId="2" applyNumberFormat="1" applyFont="1" applyFill="1" applyBorder="1" applyAlignment="1">
      <alignment wrapText="1"/>
    </xf>
    <xf numFmtId="0" fontId="0" fillId="0" borderId="15" xfId="0" applyBorder="1" applyAlignment="1">
      <alignment wrapText="1"/>
    </xf>
    <xf numFmtId="164" fontId="3" fillId="2" borderId="4" xfId="2" applyNumberFormat="1" applyFont="1" applyFill="1" applyBorder="1" applyAlignment="1">
      <alignment horizontal="left" wrapText="1"/>
    </xf>
    <xf numFmtId="0" fontId="0" fillId="0" borderId="11" xfId="0" applyBorder="1" applyAlignment="1">
      <alignment wrapText="1"/>
    </xf>
    <xf numFmtId="164" fontId="6" fillId="0" borderId="4" xfId="2" applyNumberFormat="1" applyFont="1" applyBorder="1" applyAlignment="1">
      <alignment horizontal="left" vertical="center" wrapText="1"/>
    </xf>
    <xf numFmtId="0" fontId="0" fillId="0" borderId="11" xfId="0" applyBorder="1" applyAlignment="1">
      <alignment vertical="center" wrapText="1"/>
    </xf>
    <xf numFmtId="164" fontId="6" fillId="4" borderId="4" xfId="2" applyNumberFormat="1" applyFont="1" applyFill="1" applyBorder="1" applyAlignment="1">
      <alignment wrapText="1"/>
    </xf>
    <xf numFmtId="164" fontId="6" fillId="4" borderId="16" xfId="2" applyNumberFormat="1" applyFont="1" applyFill="1" applyBorder="1" applyAlignment="1">
      <alignment wrapText="1"/>
    </xf>
    <xf numFmtId="0" fontId="0" fillId="0" borderId="18" xfId="0" applyBorder="1" applyAlignment="1">
      <alignment wrapText="1"/>
    </xf>
    <xf numFmtId="0" fontId="12" fillId="0" borderId="1" xfId="0" applyFont="1" applyBorder="1" applyAlignment="1">
      <alignment wrapText="1"/>
    </xf>
    <xf numFmtId="0" fontId="13" fillId="0" borderId="1" xfId="0" applyFont="1" applyBorder="1" applyAlignment="1">
      <alignment wrapText="1"/>
    </xf>
    <xf numFmtId="164" fontId="3" fillId="0" borderId="1" xfId="2" applyNumberFormat="1" applyFont="1" applyBorder="1" applyAlignment="1">
      <alignment wrapText="1"/>
    </xf>
    <xf numFmtId="164" fontId="3" fillId="0" borderId="4" xfId="2" applyNumberFormat="1" applyFont="1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14" fillId="0" borderId="1" xfId="0" applyFont="1" applyBorder="1" applyAlignment="1">
      <alignment wrapText="1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wrapText="1"/>
    </xf>
    <xf numFmtId="164" fontId="15" fillId="0" borderId="0" xfId="2" applyNumberFormat="1" applyFont="1" applyBorder="1" applyAlignment="1">
      <alignment wrapText="1"/>
    </xf>
    <xf numFmtId="0" fontId="16" fillId="0" borderId="0" xfId="0" applyFont="1" applyBorder="1" applyAlignment="1">
      <alignment wrapText="1"/>
    </xf>
    <xf numFmtId="0" fontId="16" fillId="0" borderId="0" xfId="0" applyFont="1" applyAlignment="1">
      <alignment wrapText="1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K44"/>
  <sheetViews>
    <sheetView tabSelected="1" workbookViewId="0">
      <selection activeCell="I7" sqref="I7"/>
    </sheetView>
  </sheetViews>
  <sheetFormatPr defaultRowHeight="15.75" x14ac:dyDescent="0.25"/>
  <cols>
    <col min="1" max="1" width="1" style="1" customWidth="1"/>
    <col min="2" max="2" width="2" style="1" customWidth="1"/>
    <col min="3" max="3" width="4.140625" style="1" customWidth="1"/>
    <col min="4" max="4" width="50.7109375" style="1" customWidth="1"/>
    <col min="5" max="5" width="9.42578125" style="1" customWidth="1"/>
    <col min="6" max="6" width="15.85546875" style="1" customWidth="1"/>
    <col min="7" max="7" width="15.42578125" style="1" customWidth="1"/>
    <col min="8" max="8" width="13.42578125" style="1" customWidth="1"/>
    <col min="9" max="9" width="13.7109375" style="1" customWidth="1"/>
    <col min="10" max="10" width="9.140625" style="1"/>
    <col min="11" max="11" width="8.28515625" style="1" customWidth="1"/>
    <col min="12" max="16384" width="9.140625" style="1"/>
  </cols>
  <sheetData>
    <row r="3" spans="3:11" ht="21" x14ac:dyDescent="0.35">
      <c r="D3" s="92" t="s">
        <v>74</v>
      </c>
      <c r="E3" s="93"/>
      <c r="F3" s="93"/>
      <c r="G3" s="94"/>
      <c r="H3" s="94"/>
      <c r="I3" s="91"/>
    </row>
    <row r="4" spans="3:11" ht="18.75" customHeight="1" thickBot="1" x14ac:dyDescent="0.3">
      <c r="D4" s="86"/>
      <c r="E4" s="89"/>
      <c r="F4" s="89"/>
      <c r="G4" s="70">
        <f>G6+H6+I6</f>
        <v>36199.4</v>
      </c>
      <c r="H4" s="90"/>
      <c r="I4" s="90"/>
    </row>
    <row r="5" spans="3:11" ht="51" customHeight="1" x14ac:dyDescent="0.25">
      <c r="D5" s="71" t="s">
        <v>0</v>
      </c>
      <c r="E5" s="72"/>
      <c r="F5" s="2" t="s">
        <v>1</v>
      </c>
      <c r="G5" s="3" t="s">
        <v>2</v>
      </c>
      <c r="H5" s="3" t="s">
        <v>3</v>
      </c>
      <c r="I5" s="52" t="s">
        <v>4</v>
      </c>
      <c r="J5" s="48" t="s">
        <v>42</v>
      </c>
      <c r="K5" s="48" t="s">
        <v>43</v>
      </c>
    </row>
    <row r="6" spans="3:11" ht="15" customHeight="1" x14ac:dyDescent="0.25">
      <c r="D6" s="87" t="s">
        <v>73</v>
      </c>
      <c r="E6" s="88"/>
      <c r="F6" s="4" t="s">
        <v>5</v>
      </c>
      <c r="G6" s="5">
        <v>29987.4</v>
      </c>
      <c r="H6" s="5">
        <v>538.5</v>
      </c>
      <c r="I6" s="53">
        <v>5673.5</v>
      </c>
      <c r="J6" s="24"/>
      <c r="K6" s="24"/>
    </row>
    <row r="7" spans="3:11" ht="15" customHeight="1" x14ac:dyDescent="0.25">
      <c r="D7" s="77" t="s">
        <v>65</v>
      </c>
      <c r="E7" s="78"/>
      <c r="F7" s="6" t="s">
        <v>7</v>
      </c>
      <c r="G7" s="7">
        <f>SUM(G8:G13)</f>
        <v>51.499720358902238</v>
      </c>
      <c r="H7" s="7">
        <f t="shared" ref="H7:I7" si="0">SUM(H8:H13)</f>
        <v>51.499720358902252</v>
      </c>
      <c r="I7" s="54">
        <f t="shared" si="0"/>
        <v>60.69006394574528</v>
      </c>
      <c r="J7" s="57">
        <v>69</v>
      </c>
      <c r="K7" s="57">
        <v>50</v>
      </c>
    </row>
    <row r="8" spans="3:11" ht="15" customHeight="1" x14ac:dyDescent="0.25">
      <c r="D8" s="79" t="s">
        <v>8</v>
      </c>
      <c r="E8" s="80"/>
      <c r="F8" s="8" t="s">
        <v>6</v>
      </c>
      <c r="G8" s="9">
        <f>G15/G6</f>
        <v>7.3841002889550653</v>
      </c>
      <c r="H8" s="10">
        <f>H15/H6</f>
        <v>7.3841002889550653</v>
      </c>
      <c r="I8" s="38">
        <f>I15/I6</f>
        <v>7.3841002889550635</v>
      </c>
      <c r="J8" s="24"/>
      <c r="K8" s="24"/>
    </row>
    <row r="9" spans="3:11" ht="15" customHeight="1" x14ac:dyDescent="0.25">
      <c r="D9" s="81" t="s">
        <v>9</v>
      </c>
      <c r="E9" s="78"/>
      <c r="F9" s="11" t="s">
        <v>7</v>
      </c>
      <c r="G9" s="9">
        <f>G20/G6</f>
        <v>2.2099813809068656</v>
      </c>
      <c r="H9" s="10">
        <f>H20/H6</f>
        <v>2.2099813809068656</v>
      </c>
      <c r="I9" s="38">
        <f>I20/I6</f>
        <v>2.2099813809068656</v>
      </c>
      <c r="J9" s="24"/>
      <c r="K9" s="24"/>
    </row>
    <row r="10" spans="3:11" ht="15" customHeight="1" x14ac:dyDescent="0.25">
      <c r="D10" s="81" t="s">
        <v>38</v>
      </c>
      <c r="E10" s="78"/>
      <c r="F10" s="11" t="s">
        <v>7</v>
      </c>
      <c r="G10" s="9">
        <f>G22/G6</f>
        <v>1.7486477676425576</v>
      </c>
      <c r="H10" s="10">
        <f>H22/H6</f>
        <v>1.7486477676425576</v>
      </c>
      <c r="I10" s="38">
        <f>I22/I6</f>
        <v>2.4536799347351814</v>
      </c>
      <c r="J10" s="24"/>
      <c r="K10" s="24"/>
    </row>
    <row r="11" spans="3:11" ht="15" customHeight="1" x14ac:dyDescent="0.25">
      <c r="D11" s="81" t="s">
        <v>10</v>
      </c>
      <c r="E11" s="78"/>
      <c r="F11" s="11" t="s">
        <v>7</v>
      </c>
      <c r="G11" s="9">
        <f>G25/G6</f>
        <v>8.1493063420940679</v>
      </c>
      <c r="H11" s="10">
        <f>H25/H6</f>
        <v>8.1493063420940679</v>
      </c>
      <c r="I11" s="38">
        <f>I25/I6</f>
        <v>16.962208430751861</v>
      </c>
      <c r="J11" s="24"/>
      <c r="K11" s="24"/>
    </row>
    <row r="12" spans="3:11" ht="15" customHeight="1" x14ac:dyDescent="0.25">
      <c r="D12" s="73" t="s">
        <v>11</v>
      </c>
      <c r="E12" s="74"/>
      <c r="F12" s="12" t="s">
        <v>7</v>
      </c>
      <c r="G12" s="13">
        <f>G30/G6</f>
        <v>23.686292746842373</v>
      </c>
      <c r="H12" s="14">
        <f>H30/H6</f>
        <v>23.686292746842376</v>
      </c>
      <c r="I12" s="55">
        <f>I30/I6</f>
        <v>23.358702077934993</v>
      </c>
      <c r="J12" s="24"/>
      <c r="K12" s="24"/>
    </row>
    <row r="13" spans="3:11" ht="15" customHeight="1" thickBot="1" x14ac:dyDescent="0.3">
      <c r="D13" s="82" t="s">
        <v>39</v>
      </c>
      <c r="E13" s="83"/>
      <c r="F13" s="15" t="s">
        <v>7</v>
      </c>
      <c r="G13" s="16">
        <f>(G41+G43)/G6</f>
        <v>8.3213918324613108</v>
      </c>
      <c r="H13" s="16">
        <f>(41:41+H43)/H6</f>
        <v>8.3213918324613125</v>
      </c>
      <c r="I13" s="56">
        <f>(I41+I43)/I6</f>
        <v>8.3213918324613125</v>
      </c>
      <c r="J13" s="24"/>
      <c r="K13" s="24"/>
    </row>
    <row r="14" spans="3:11" ht="27.75" customHeight="1" x14ac:dyDescent="0.25">
      <c r="D14" s="75"/>
      <c r="E14" s="76"/>
      <c r="F14" s="17" t="s">
        <v>12</v>
      </c>
      <c r="G14" s="18"/>
      <c r="H14" s="19"/>
      <c r="I14" s="19"/>
    </row>
    <row r="15" spans="3:11" ht="27.75" customHeight="1" x14ac:dyDescent="0.25">
      <c r="C15" s="20" t="s">
        <v>13</v>
      </c>
      <c r="D15" s="21" t="s">
        <v>8</v>
      </c>
      <c r="E15" s="22" t="s">
        <v>14</v>
      </c>
      <c r="F15" s="23">
        <f>SUM(F16:F19)</f>
        <v>267300</v>
      </c>
      <c r="G15" s="23">
        <f>SUM(G16:G19)</f>
        <v>221429.96900501114</v>
      </c>
      <c r="H15" s="23">
        <f>SUM(H16:H19)</f>
        <v>3976.3380056023025</v>
      </c>
      <c r="I15" s="23">
        <f>SUM(I16:I19)</f>
        <v>41893.692989386553</v>
      </c>
    </row>
    <row r="16" spans="3:11" ht="15" customHeight="1" x14ac:dyDescent="0.25">
      <c r="C16" s="24"/>
      <c r="D16" s="24" t="s">
        <v>15</v>
      </c>
      <c r="E16" s="1" t="s">
        <v>14</v>
      </c>
      <c r="F16" s="25">
        <v>253000</v>
      </c>
      <c r="G16" s="24">
        <f>F16/G4*G6</f>
        <v>209583.9212804632</v>
      </c>
      <c r="H16" s="24">
        <f>F16/G4*H6</f>
        <v>3763.6121040680227</v>
      </c>
      <c r="I16" s="24">
        <f>F16/G4*I6</f>
        <v>39652.466615468758</v>
      </c>
    </row>
    <row r="17" spans="3:9" ht="15" customHeight="1" x14ac:dyDescent="0.25">
      <c r="C17" s="24"/>
      <c r="D17" s="24" t="s">
        <v>16</v>
      </c>
      <c r="E17" s="1" t="s">
        <v>14</v>
      </c>
      <c r="F17" s="25">
        <v>3500</v>
      </c>
      <c r="G17" s="24">
        <f>F17/G4*G6</f>
        <v>2899.3823102040365</v>
      </c>
      <c r="H17" s="24">
        <f>F17/G4*H6</f>
        <v>52.065780095802687</v>
      </c>
      <c r="I17" s="24">
        <f>F17/G4*I6</f>
        <v>548.55190970016076</v>
      </c>
    </row>
    <row r="18" spans="3:9" ht="15" customHeight="1" x14ac:dyDescent="0.25">
      <c r="C18" s="24"/>
      <c r="D18" s="24" t="s">
        <v>31</v>
      </c>
      <c r="E18" s="26" t="s">
        <v>14</v>
      </c>
      <c r="F18" s="27">
        <v>800</v>
      </c>
      <c r="G18" s="24">
        <f>F18/G4*G6</f>
        <v>662.71595661806555</v>
      </c>
      <c r="H18" s="24">
        <f>F18/G4*H6</f>
        <v>11.900749736183473</v>
      </c>
      <c r="I18" s="24">
        <f>F18/G4*I6</f>
        <v>125.38329364575104</v>
      </c>
    </row>
    <row r="19" spans="3:9" ht="15" customHeight="1" x14ac:dyDescent="0.25">
      <c r="C19" s="24"/>
      <c r="D19" s="24" t="s">
        <v>17</v>
      </c>
      <c r="E19" s="26" t="s">
        <v>14</v>
      </c>
      <c r="F19" s="27">
        <v>10000</v>
      </c>
      <c r="G19" s="24">
        <f>F19/G4*G6</f>
        <v>8283.9494577258174</v>
      </c>
      <c r="H19" s="24">
        <f>F19/G4*H6</f>
        <v>148.75937170229338</v>
      </c>
      <c r="I19" s="24">
        <f>F19/G4*I6</f>
        <v>1567.2911705718877</v>
      </c>
    </row>
    <row r="20" spans="3:9" ht="26.25" customHeight="1" x14ac:dyDescent="0.25">
      <c r="C20" s="28" t="s">
        <v>18</v>
      </c>
      <c r="D20" s="29" t="s">
        <v>19</v>
      </c>
      <c r="E20" s="22" t="s">
        <v>14</v>
      </c>
      <c r="F20" s="30">
        <f>F21</f>
        <v>80000</v>
      </c>
      <c r="G20" s="28">
        <f>F20/G4*G6</f>
        <v>66271.595661806539</v>
      </c>
      <c r="H20" s="28">
        <f>F20/G4*H6</f>
        <v>1190.074973618347</v>
      </c>
      <c r="I20" s="28">
        <f>F20/G4*I6</f>
        <v>12538.329364575102</v>
      </c>
    </row>
    <row r="21" spans="3:9" ht="17.25" customHeight="1" x14ac:dyDescent="0.25">
      <c r="C21" s="28"/>
      <c r="D21" s="31" t="s">
        <v>40</v>
      </c>
      <c r="E21" s="32" t="s">
        <v>14</v>
      </c>
      <c r="F21" s="33">
        <v>80000</v>
      </c>
      <c r="G21" s="34">
        <f>F21/G4*G6</f>
        <v>66271.595661806539</v>
      </c>
      <c r="H21" s="35">
        <f>F21/G4*H6</f>
        <v>1190.074973618347</v>
      </c>
      <c r="I21" s="35">
        <f>F21/G4*I6</f>
        <v>12538.329364575102</v>
      </c>
    </row>
    <row r="22" spans="3:9" ht="22.5" customHeight="1" x14ac:dyDescent="0.25">
      <c r="C22" s="28" t="s">
        <v>20</v>
      </c>
      <c r="D22" s="36" t="s">
        <v>32</v>
      </c>
      <c r="E22" s="37" t="s">
        <v>14</v>
      </c>
      <c r="F22" s="22">
        <f>SUM(F23:F24)</f>
        <v>67300</v>
      </c>
      <c r="G22" s="38">
        <f>SUM(G23:G24)</f>
        <v>52437.400067404436</v>
      </c>
      <c r="H22" s="28">
        <f>SUM(H23:H24)</f>
        <v>941.64682287551727</v>
      </c>
      <c r="I22" s="28">
        <f>SUM(I23:I24)</f>
        <v>13920.953109720051</v>
      </c>
    </row>
    <row r="23" spans="3:9" ht="30.75" customHeight="1" x14ac:dyDescent="0.25">
      <c r="C23" s="24"/>
      <c r="D23" s="39" t="s">
        <v>45</v>
      </c>
      <c r="E23" s="26" t="s">
        <v>14</v>
      </c>
      <c r="F23" s="40">
        <v>63300</v>
      </c>
      <c r="G23" s="24">
        <f>F23/G4*G6</f>
        <v>52437.400067404436</v>
      </c>
      <c r="H23" s="24">
        <f>F23/G4*H6</f>
        <v>941.64682287551727</v>
      </c>
      <c r="I23" s="24">
        <f>F23/G4*I6</f>
        <v>9920.9531097200506</v>
      </c>
    </row>
    <row r="24" spans="3:9" ht="15" customHeight="1" x14ac:dyDescent="0.25">
      <c r="C24" s="24"/>
      <c r="D24" s="39" t="s">
        <v>21</v>
      </c>
      <c r="E24" s="26" t="s">
        <v>14</v>
      </c>
      <c r="F24" s="40">
        <v>4000</v>
      </c>
      <c r="G24" s="24">
        <v>0</v>
      </c>
      <c r="H24" s="24">
        <v>0</v>
      </c>
      <c r="I24" s="24">
        <v>4000</v>
      </c>
    </row>
    <row r="25" spans="3:9" ht="20.25" customHeight="1" x14ac:dyDescent="0.25">
      <c r="C25" s="28" t="s">
        <v>22</v>
      </c>
      <c r="D25" s="29" t="s">
        <v>23</v>
      </c>
      <c r="E25" s="37" t="s">
        <v>14</v>
      </c>
      <c r="F25" s="22">
        <f>SUM(F26:F29)</f>
        <v>345000</v>
      </c>
      <c r="G25" s="28">
        <f>SUM(G26:G29)</f>
        <v>244376.50900291165</v>
      </c>
      <c r="H25" s="28">
        <f>SUM(H26:H29)</f>
        <v>4388.4014652176556</v>
      </c>
      <c r="I25" s="28">
        <f>SUM(I26:I29)</f>
        <v>96235.08953187069</v>
      </c>
    </row>
    <row r="26" spans="3:9" ht="15" customHeight="1" x14ac:dyDescent="0.25">
      <c r="C26" s="24"/>
      <c r="D26" s="41" t="s">
        <v>24</v>
      </c>
      <c r="E26" s="26" t="s">
        <v>14</v>
      </c>
      <c r="F26" s="42">
        <v>200000</v>
      </c>
      <c r="G26" s="24">
        <f>F26/G4*G6</f>
        <v>165678.98915451637</v>
      </c>
      <c r="H26" s="24">
        <f>F26/G4*H6</f>
        <v>2975.187434045868</v>
      </c>
      <c r="I26" s="24">
        <f>F26/G4*I6</f>
        <v>31345.823411437756</v>
      </c>
    </row>
    <row r="27" spans="3:9" ht="18" customHeight="1" x14ac:dyDescent="0.25">
      <c r="C27" s="24"/>
      <c r="D27" s="41" t="s">
        <v>46</v>
      </c>
      <c r="E27" s="26" t="s">
        <v>14</v>
      </c>
      <c r="F27" s="42">
        <v>90000</v>
      </c>
      <c r="G27" s="24">
        <f>F27/G4*G6</f>
        <v>74555.545119532369</v>
      </c>
      <c r="H27" s="24">
        <f>F27/G4*H6</f>
        <v>1338.8343453206408</v>
      </c>
      <c r="I27" s="24">
        <f>F27/G4*I6</f>
        <v>14105.620535146991</v>
      </c>
    </row>
    <row r="28" spans="3:9" ht="15" customHeight="1" x14ac:dyDescent="0.25">
      <c r="C28" s="24"/>
      <c r="D28" s="41" t="s">
        <v>41</v>
      </c>
      <c r="E28" s="26" t="s">
        <v>14</v>
      </c>
      <c r="F28" s="42">
        <v>5000</v>
      </c>
      <c r="G28" s="24">
        <f>F28/G4*G6</f>
        <v>4141.9747288629087</v>
      </c>
      <c r="H28" s="24">
        <f>F28/G4*H6</f>
        <v>74.379685851146689</v>
      </c>
      <c r="I28" s="24">
        <f>F28/G4*I6</f>
        <v>783.64558528594387</v>
      </c>
    </row>
    <row r="29" spans="3:9" ht="15" customHeight="1" x14ac:dyDescent="0.25">
      <c r="C29" s="24"/>
      <c r="D29" s="41" t="s">
        <v>25</v>
      </c>
      <c r="E29" s="26" t="s">
        <v>14</v>
      </c>
      <c r="F29" s="42">
        <v>50000</v>
      </c>
      <c r="G29" s="24">
        <v>0</v>
      </c>
      <c r="H29" s="24">
        <v>0</v>
      </c>
      <c r="I29" s="24">
        <v>50000</v>
      </c>
    </row>
    <row r="30" spans="3:9" ht="23.25" customHeight="1" x14ac:dyDescent="0.25">
      <c r="C30" s="28" t="s">
        <v>26</v>
      </c>
      <c r="D30" s="43" t="s">
        <v>27</v>
      </c>
      <c r="E30" s="37" t="s">
        <v>14</v>
      </c>
      <c r="F30" s="22">
        <f>SUM(F31:F40)</f>
        <v>855571</v>
      </c>
      <c r="G30" s="38">
        <f>SUM(G31:G40)</f>
        <v>710290.33511666104</v>
      </c>
      <c r="H30" s="38">
        <f t="shared" ref="H30:I30" si="1">SUM(H31:H40)</f>
        <v>12755.06864417462</v>
      </c>
      <c r="I30" s="38">
        <f t="shared" si="1"/>
        <v>132525.59623916418</v>
      </c>
    </row>
    <row r="31" spans="3:9" ht="15" customHeight="1" x14ac:dyDescent="0.25">
      <c r="C31" s="24"/>
      <c r="D31" s="44" t="s">
        <v>33</v>
      </c>
      <c r="E31" s="26" t="s">
        <v>14</v>
      </c>
      <c r="F31" s="45">
        <v>490471</v>
      </c>
      <c r="G31" s="46">
        <f>F31/G4*G6</f>
        <v>406303.697448024</v>
      </c>
      <c r="H31" s="24">
        <f>F31/G4*H6</f>
        <v>7296.2157798195549</v>
      </c>
      <c r="I31" s="24">
        <f>F31/G4*I6</f>
        <v>76871.086772156443</v>
      </c>
    </row>
    <row r="32" spans="3:9" ht="15" customHeight="1" x14ac:dyDescent="0.25">
      <c r="C32" s="24"/>
      <c r="D32" s="44" t="s">
        <v>49</v>
      </c>
      <c r="E32" s="26" t="s">
        <v>14</v>
      </c>
      <c r="F32" s="47">
        <v>200000</v>
      </c>
      <c r="G32" s="47">
        <f>F32/G4*G6</f>
        <v>165678.98915451637</v>
      </c>
      <c r="H32" s="24">
        <f>F32/G4*H6</f>
        <v>2975.187434045868</v>
      </c>
      <c r="I32" s="24">
        <f>F32/G4*I6</f>
        <v>31345.823411437756</v>
      </c>
    </row>
    <row r="33" spans="3:9" ht="15" customHeight="1" x14ac:dyDescent="0.25">
      <c r="C33" s="24"/>
      <c r="D33" s="44" t="s">
        <v>37</v>
      </c>
      <c r="E33" s="26" t="s">
        <v>14</v>
      </c>
      <c r="F33" s="47">
        <v>50000</v>
      </c>
      <c r="G33" s="47">
        <f>F33/G4*G6</f>
        <v>41419.747288629093</v>
      </c>
      <c r="H33" s="24">
        <f>F33/G4*H6</f>
        <v>743.79685851146701</v>
      </c>
      <c r="I33" s="24">
        <f>F33/G4*I6</f>
        <v>7836.4558528594389</v>
      </c>
    </row>
    <row r="34" spans="3:9" ht="15" customHeight="1" x14ac:dyDescent="0.25">
      <c r="C34" s="24"/>
      <c r="D34" s="44" t="s">
        <v>28</v>
      </c>
      <c r="E34" s="26" t="s">
        <v>14</v>
      </c>
      <c r="F34" s="47">
        <v>50000</v>
      </c>
      <c r="G34" s="47">
        <f>F34/G4*G6</f>
        <v>41419.747288629093</v>
      </c>
      <c r="H34" s="24">
        <f>F34/G4*H6</f>
        <v>743.79685851146701</v>
      </c>
      <c r="I34" s="24">
        <f>F34/G4*I6</f>
        <v>7836.4558528594389</v>
      </c>
    </row>
    <row r="35" spans="3:9" ht="15" customHeight="1" x14ac:dyDescent="0.25">
      <c r="C35" s="24"/>
      <c r="D35" s="44" t="s">
        <v>36</v>
      </c>
      <c r="E35" s="26" t="s">
        <v>14</v>
      </c>
      <c r="F35" s="47">
        <v>15000</v>
      </c>
      <c r="G35" s="47">
        <f>F35/G4*G6</f>
        <v>12425.924186588727</v>
      </c>
      <c r="H35" s="24">
        <f>F35/G4*H6</f>
        <v>223.1390575534401</v>
      </c>
      <c r="I35" s="24">
        <f>F35/G4*I6</f>
        <v>2350.9367558578319</v>
      </c>
    </row>
    <row r="36" spans="3:9" ht="15" customHeight="1" x14ac:dyDescent="0.25">
      <c r="C36" s="24"/>
      <c r="D36" s="44" t="s">
        <v>50</v>
      </c>
      <c r="E36" s="26" t="s">
        <v>14</v>
      </c>
      <c r="F36" s="47">
        <v>10000</v>
      </c>
      <c r="G36" s="47">
        <f>F36/(G6+H6)*G6</f>
        <v>9823.5924247933708</v>
      </c>
      <c r="H36" s="24">
        <f>F36/(G6+H6)*H6</f>
        <v>176.4075752066278</v>
      </c>
      <c r="I36" s="24">
        <v>0</v>
      </c>
    </row>
    <row r="37" spans="3:9" ht="15" customHeight="1" x14ac:dyDescent="0.25">
      <c r="C37" s="24"/>
      <c r="D37" s="44" t="s">
        <v>29</v>
      </c>
      <c r="E37" s="26" t="s">
        <v>14</v>
      </c>
      <c r="F37" s="47">
        <v>5000</v>
      </c>
      <c r="G37" s="47">
        <f>F37/G4*G6</f>
        <v>4141.9747288629087</v>
      </c>
      <c r="H37" s="24">
        <f>F37/G4*H6</f>
        <v>74.379685851146689</v>
      </c>
      <c r="I37" s="24">
        <f>F37/G4*I6</f>
        <v>783.64558528594387</v>
      </c>
    </row>
    <row r="38" spans="3:9" ht="15" customHeight="1" x14ac:dyDescent="0.25">
      <c r="C38" s="24"/>
      <c r="D38" s="44" t="s">
        <v>48</v>
      </c>
      <c r="E38" s="26" t="s">
        <v>14</v>
      </c>
      <c r="F38" s="47">
        <v>4000</v>
      </c>
      <c r="G38" s="47">
        <f>F38/G4*G6</f>
        <v>3313.5797830903275</v>
      </c>
      <c r="H38" s="24">
        <f>F38/G4*H6</f>
        <v>59.503748680917361</v>
      </c>
      <c r="I38" s="24">
        <f>F38/G4*I6</f>
        <v>626.91646822875521</v>
      </c>
    </row>
    <row r="39" spans="3:9" ht="15" customHeight="1" x14ac:dyDescent="0.25">
      <c r="C39" s="24"/>
      <c r="D39" s="44" t="s">
        <v>30</v>
      </c>
      <c r="E39" s="26" t="s">
        <v>14</v>
      </c>
      <c r="F39" s="47">
        <v>1100</v>
      </c>
      <c r="G39" s="47">
        <f>F39/G4*G6</f>
        <v>911.23444034984004</v>
      </c>
      <c r="H39" s="24">
        <f>F39/G4*H6</f>
        <v>16.363530887252274</v>
      </c>
      <c r="I39" s="24">
        <f>F39/G4*I6</f>
        <v>172.40202876290766</v>
      </c>
    </row>
    <row r="40" spans="3:9" ht="50.25" customHeight="1" x14ac:dyDescent="0.25">
      <c r="C40" s="24"/>
      <c r="D40" s="44" t="s">
        <v>47</v>
      </c>
      <c r="E40" s="26" t="s">
        <v>14</v>
      </c>
      <c r="F40" s="47">
        <v>30000</v>
      </c>
      <c r="G40" s="47">
        <f>F40/G4*G6</f>
        <v>24851.848373177454</v>
      </c>
      <c r="H40" s="24">
        <f>F40/G4*H6</f>
        <v>446.27811510688019</v>
      </c>
      <c r="I40" s="24">
        <f>F40/G4*I6</f>
        <v>4701.8735117156639</v>
      </c>
    </row>
    <row r="41" spans="3:9" ht="15" customHeight="1" x14ac:dyDescent="0.25">
      <c r="C41" s="48" t="s">
        <v>34</v>
      </c>
      <c r="D41" s="49" t="s">
        <v>72</v>
      </c>
      <c r="E41" s="50" t="s">
        <v>14</v>
      </c>
      <c r="F41" s="51">
        <f>(F15+F20+F22+F25+F30)*13/100</f>
        <v>209972.23</v>
      </c>
      <c r="G41" s="51">
        <f>F41/G4*G6</f>
        <v>173939.93408459809</v>
      </c>
      <c r="H41" s="48">
        <f>F41/G4*H6</f>
        <v>3123.5337009729446</v>
      </c>
      <c r="I41" s="48">
        <f>F41/G4*I6</f>
        <v>32908.762214428971</v>
      </c>
    </row>
    <row r="42" spans="3:9" ht="15" customHeight="1" x14ac:dyDescent="0.25">
      <c r="C42" s="48"/>
      <c r="D42" s="49" t="s">
        <v>35</v>
      </c>
      <c r="E42" s="50" t="s">
        <v>14</v>
      </c>
      <c r="F42" s="51">
        <f>F15+F20+F22+F25+F30+F41</f>
        <v>1825143.23</v>
      </c>
      <c r="G42" s="51">
        <f>G15+G20+G22+G25+G30+G41</f>
        <v>1468745.7429383928</v>
      </c>
      <c r="H42" s="51">
        <f>H15+H20+H22+H25+H30+H41</f>
        <v>26375.063612461385</v>
      </c>
      <c r="I42" s="51">
        <f>I15+I20+I22+I25+I30+I41</f>
        <v>330022.42344914557</v>
      </c>
    </row>
    <row r="43" spans="3:9" ht="15" customHeight="1" x14ac:dyDescent="0.25">
      <c r="C43" s="24"/>
      <c r="D43" s="49" t="s">
        <v>44</v>
      </c>
      <c r="E43" s="50" t="s">
        <v>14</v>
      </c>
      <c r="F43" s="51">
        <f>F42*5/100</f>
        <v>91257.161500000002</v>
      </c>
      <c r="G43" s="51">
        <f>F43/G4*G6</f>
        <v>75596.97135215225</v>
      </c>
      <c r="H43" s="48">
        <f>F43/G4*H6</f>
        <v>1357.5358008074718</v>
      </c>
      <c r="I43" s="48">
        <f>F43/G4*I6</f>
        <v>14302.654347040281</v>
      </c>
    </row>
    <row r="44" spans="3:9" x14ac:dyDescent="0.25">
      <c r="C44" s="24"/>
      <c r="D44" s="48" t="s">
        <v>71</v>
      </c>
      <c r="E44" s="50" t="s">
        <v>14</v>
      </c>
      <c r="F44" s="48">
        <f>SUM(F42:F43)</f>
        <v>1916400.3914999999</v>
      </c>
      <c r="G44" s="48">
        <f>SUM(G42:G43)</f>
        <v>1544342.7142905451</v>
      </c>
      <c r="H44" s="48">
        <f>SUM(H42:H43)</f>
        <v>27732.599413268857</v>
      </c>
      <c r="I44" s="48">
        <f>SUM(I42:I43)</f>
        <v>344325.07779618585</v>
      </c>
    </row>
  </sheetData>
  <mergeCells count="13">
    <mergeCell ref="D3:I3"/>
    <mergeCell ref="G4:I4"/>
    <mergeCell ref="D5:E5"/>
    <mergeCell ref="D6:E6"/>
    <mergeCell ref="D12:E12"/>
    <mergeCell ref="D14:E14"/>
    <mergeCell ref="D7:E7"/>
    <mergeCell ref="D8:E8"/>
    <mergeCell ref="D9:E9"/>
    <mergeCell ref="D10:E10"/>
    <mergeCell ref="D11:E11"/>
    <mergeCell ref="D13:E13"/>
    <mergeCell ref="D4:F4"/>
  </mergeCells>
  <pageMargins left="0.2" right="0.17" top="0.63" bottom="0.77" header="0.3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20"/>
  <sheetViews>
    <sheetView workbookViewId="0">
      <selection activeCell="G17" sqref="G17"/>
    </sheetView>
  </sheetViews>
  <sheetFormatPr defaultRowHeight="15.75" x14ac:dyDescent="0.25"/>
  <cols>
    <col min="1" max="2" width="9.140625" style="58"/>
    <col min="3" max="3" width="33.7109375" style="58" customWidth="1"/>
    <col min="4" max="4" width="15.5703125" style="58" customWidth="1"/>
    <col min="5" max="5" width="13" style="58" customWidth="1"/>
    <col min="6" max="6" width="21.7109375" style="58" customWidth="1"/>
    <col min="7" max="16384" width="9.140625" style="58"/>
  </cols>
  <sheetData>
    <row r="1" spans="3:6" ht="47.25" customHeight="1" thickBot="1" x14ac:dyDescent="0.45">
      <c r="C1" s="84" t="s">
        <v>64</v>
      </c>
      <c r="D1" s="85"/>
      <c r="E1" s="85"/>
      <c r="F1" s="85"/>
    </row>
    <row r="2" spans="3:6" ht="37.5" x14ac:dyDescent="0.25">
      <c r="C2" s="65" t="s">
        <v>63</v>
      </c>
      <c r="D2" s="66" t="s">
        <v>62</v>
      </c>
      <c r="E2" s="66" t="s">
        <v>61</v>
      </c>
      <c r="F2" s="67"/>
    </row>
    <row r="3" spans="3:6" x14ac:dyDescent="0.25">
      <c r="C3" s="61" t="s">
        <v>51</v>
      </c>
      <c r="D3" s="59">
        <v>60000</v>
      </c>
      <c r="E3" s="59">
        <v>1</v>
      </c>
      <c r="F3" s="62">
        <f>D3*E3</f>
        <v>60000</v>
      </c>
    </row>
    <row r="4" spans="3:6" x14ac:dyDescent="0.25">
      <c r="C4" s="61" t="s">
        <v>52</v>
      </c>
      <c r="D4" s="59">
        <v>80000</v>
      </c>
      <c r="E4" s="60">
        <v>0.5</v>
      </c>
      <c r="F4" s="62">
        <f t="shared" ref="F4:F8" si="0">D4*E4</f>
        <v>40000</v>
      </c>
    </row>
    <row r="5" spans="3:6" x14ac:dyDescent="0.25">
      <c r="C5" s="61" t="s">
        <v>53</v>
      </c>
      <c r="D5" s="59">
        <v>35000</v>
      </c>
      <c r="E5" s="59">
        <v>2</v>
      </c>
      <c r="F5" s="62">
        <f t="shared" si="0"/>
        <v>70000</v>
      </c>
    </row>
    <row r="6" spans="3:6" x14ac:dyDescent="0.25">
      <c r="C6" s="61" t="s">
        <v>54</v>
      </c>
      <c r="D6" s="59">
        <v>35000</v>
      </c>
      <c r="E6" s="59">
        <v>2</v>
      </c>
      <c r="F6" s="62">
        <f t="shared" si="0"/>
        <v>70000</v>
      </c>
    </row>
    <row r="7" spans="3:6" x14ac:dyDescent="0.25">
      <c r="C7" s="61" t="s">
        <v>55</v>
      </c>
      <c r="D7" s="59">
        <v>20000</v>
      </c>
      <c r="E7" s="59">
        <v>4</v>
      </c>
      <c r="F7" s="62">
        <f t="shared" si="0"/>
        <v>80000</v>
      </c>
    </row>
    <row r="8" spans="3:6" x14ac:dyDescent="0.25">
      <c r="C8" s="61" t="s">
        <v>56</v>
      </c>
      <c r="D8" s="59">
        <v>35000</v>
      </c>
      <c r="E8" s="59">
        <v>1</v>
      </c>
      <c r="F8" s="62">
        <f t="shared" si="0"/>
        <v>35000</v>
      </c>
    </row>
    <row r="9" spans="3:6" x14ac:dyDescent="0.25">
      <c r="C9" s="61" t="s">
        <v>57</v>
      </c>
      <c r="D9" s="59"/>
      <c r="E9" s="59"/>
      <c r="F9" s="62">
        <f>SUM(F3:F8)</f>
        <v>355000</v>
      </c>
    </row>
    <row r="10" spans="3:6" x14ac:dyDescent="0.25">
      <c r="C10" s="61" t="s">
        <v>58</v>
      </c>
      <c r="D10" s="59"/>
      <c r="E10" s="59"/>
      <c r="F10" s="63">
        <f>F9/0.87</f>
        <v>408045.97701149428</v>
      </c>
    </row>
    <row r="11" spans="3:6" x14ac:dyDescent="0.25">
      <c r="C11" s="61" t="s">
        <v>59</v>
      </c>
      <c r="D11" s="59"/>
      <c r="E11" s="59"/>
      <c r="F11" s="63">
        <f>F10*20.2/100</f>
        <v>82425.287356321845</v>
      </c>
    </row>
    <row r="12" spans="3:6" ht="16.5" thickBot="1" x14ac:dyDescent="0.3">
      <c r="C12" s="69" t="s">
        <v>60</v>
      </c>
      <c r="D12" s="64"/>
      <c r="E12" s="64"/>
      <c r="F12" s="68">
        <f>F10+F11</f>
        <v>490471.26436781615</v>
      </c>
    </row>
    <row r="14" spans="3:6" ht="27" thickBot="1" x14ac:dyDescent="0.45">
      <c r="C14" s="84" t="s">
        <v>66</v>
      </c>
      <c r="D14" s="85"/>
      <c r="E14" s="85"/>
      <c r="F14" s="85"/>
    </row>
    <row r="15" spans="3:6" ht="37.5" x14ac:dyDescent="0.25">
      <c r="C15" s="65" t="s">
        <v>63</v>
      </c>
      <c r="D15" s="66" t="s">
        <v>62</v>
      </c>
      <c r="E15" s="66" t="s">
        <v>61</v>
      </c>
      <c r="F15" s="67"/>
    </row>
    <row r="16" spans="3:6" x14ac:dyDescent="0.25">
      <c r="C16" s="61" t="s">
        <v>67</v>
      </c>
      <c r="D16" s="59">
        <v>20000</v>
      </c>
      <c r="E16" s="59">
        <v>3</v>
      </c>
      <c r="F16" s="62">
        <v>60000</v>
      </c>
    </row>
    <row r="17" spans="3:6" x14ac:dyDescent="0.25">
      <c r="C17" s="61" t="s">
        <v>68</v>
      </c>
      <c r="D17" s="59">
        <v>25000</v>
      </c>
      <c r="E17" s="60">
        <v>2</v>
      </c>
      <c r="F17" s="62">
        <v>50000</v>
      </c>
    </row>
    <row r="18" spans="3:6" ht="31.5" x14ac:dyDescent="0.25">
      <c r="C18" s="61" t="s">
        <v>69</v>
      </c>
      <c r="D18" s="59">
        <v>20000</v>
      </c>
      <c r="E18" s="59">
        <v>1</v>
      </c>
      <c r="F18" s="62">
        <v>20000</v>
      </c>
    </row>
    <row r="19" spans="3:6" ht="47.25" x14ac:dyDescent="0.25">
      <c r="C19" s="61" t="s">
        <v>70</v>
      </c>
      <c r="D19" s="59"/>
      <c r="E19" s="59"/>
      <c r="F19" s="62">
        <v>70000</v>
      </c>
    </row>
    <row r="20" spans="3:6" ht="16.5" thickBot="1" x14ac:dyDescent="0.3">
      <c r="C20" s="69" t="s">
        <v>60</v>
      </c>
      <c r="D20" s="64"/>
      <c r="E20" s="64"/>
      <c r="F20" s="68">
        <f>SUM(F16:F19)</f>
        <v>200000</v>
      </c>
    </row>
  </sheetData>
  <mergeCells count="2">
    <mergeCell ref="C1:F1"/>
    <mergeCell ref="C14:F1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</vt:lpstr>
      <vt:lpstr>штатное расписание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2016-11-08T07:05:19Z</dcterms:modified>
</cp:coreProperties>
</file>